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 Bode\Documents\1. Brava\Pavers Estimator\"/>
    </mc:Choice>
  </mc:AlternateContent>
  <xr:revisionPtr revIDLastSave="0" documentId="13_ncr:1_{CB1CB0EF-0C57-4C45-90CE-138E65DAC4DB}" xr6:coauthVersionLast="47" xr6:coauthVersionMax="47" xr10:uidLastSave="{00000000-0000-0000-0000-000000000000}"/>
  <bookViews>
    <workbookView xWindow="-120" yWindow="-120" windowWidth="29040" windowHeight="15720" xr2:uid="{F8D9870B-3DB1-4ECA-AB58-1F5870DEF099}"/>
  </bookViews>
  <sheets>
    <sheet name="Rooftop &amp; Patio Estimator" sheetId="10" r:id="rId1"/>
    <sheet name="Driveway" sheetId="11" r:id="rId2"/>
    <sheet name="Permeable" sheetId="13" r:id="rId3"/>
    <sheet name="Logic &amp; Lists" sheetId="9" state="hidden" r:id="rId4"/>
  </sheets>
  <definedNames>
    <definedName name="_xlnm.Print_Area" localSheetId="1">Driveway!$B$3:$F$31</definedName>
    <definedName name="_xlnm.Print_Area" localSheetId="2">Permeable!$B$3:$F$29</definedName>
    <definedName name="_xlnm.Print_Area" localSheetId="0">'Rooftop &amp; Patio Estimator'!$B$3:$F$35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3" l="1"/>
  <c r="E13" i="13"/>
  <c r="D13" i="13"/>
  <c r="C13" i="13"/>
  <c r="K15" i="9"/>
  <c r="J15" i="9"/>
  <c r="I15" i="9"/>
  <c r="F14" i="13"/>
  <c r="E14" i="13"/>
  <c r="D14" i="13"/>
  <c r="C14" i="13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7" i="10"/>
  <c r="E17" i="10"/>
  <c r="D17" i="10"/>
  <c r="C17" i="10"/>
  <c r="F16" i="10"/>
  <c r="E16" i="10"/>
  <c r="D16" i="10"/>
  <c r="C16" i="10"/>
  <c r="F15" i="10"/>
  <c r="E15" i="10"/>
  <c r="D15" i="10"/>
  <c r="C15" i="10"/>
  <c r="C14" i="10"/>
  <c r="N7" i="9"/>
  <c r="O7" i="9"/>
  <c r="P7" i="9"/>
  <c r="M7" i="9"/>
  <c r="L7" i="9"/>
  <c r="R7" i="9"/>
  <c r="Q7" i="9"/>
  <c r="K7" i="9"/>
  <c r="J7" i="9"/>
  <c r="I7" i="9"/>
  <c r="C20" i="10"/>
  <c r="D20" i="10" s="1"/>
  <c r="E20" i="10" s="1"/>
  <c r="F20" i="10" s="1"/>
  <c r="C19" i="10"/>
  <c r="C18" i="10"/>
  <c r="D14" i="10"/>
  <c r="E14" i="10"/>
  <c r="F14" i="10"/>
  <c r="D18" i="10"/>
  <c r="E18" i="10"/>
  <c r="F18" i="10"/>
  <c r="D19" i="10"/>
  <c r="E19" i="10"/>
  <c r="F19" i="10"/>
</calcChain>
</file>

<file path=xl/sharedStrings.xml><?xml version="1.0" encoding="utf-8"?>
<sst xmlns="http://schemas.openxmlformats.org/spreadsheetml/2006/main" count="159" uniqueCount="71">
  <si>
    <t>Herringbone</t>
  </si>
  <si>
    <t>Basketweave</t>
  </si>
  <si>
    <t>Plainweave</t>
  </si>
  <si>
    <t>Block Lattice</t>
  </si>
  <si>
    <t>Rooftop</t>
  </si>
  <si>
    <t>Resurfacing</t>
  </si>
  <si>
    <t>In-Ground</t>
  </si>
  <si>
    <t>Bullnose</t>
  </si>
  <si>
    <t>4x4 Pavers with Grid</t>
  </si>
  <si>
    <t>Drain Sheet Rolls</t>
  </si>
  <si>
    <t>4x8 Pavers with Grid</t>
  </si>
  <si>
    <t>8x8 Pavers with Grid</t>
  </si>
  <si>
    <t>Transition</t>
  </si>
  <si>
    <t>No Border</t>
  </si>
  <si>
    <t>Per Border LF</t>
  </si>
  <si>
    <t>Check</t>
  </si>
  <si>
    <t>Per Job SF</t>
  </si>
  <si>
    <t>Item</t>
  </si>
  <si>
    <t>LF per Paver</t>
  </si>
  <si>
    <t>All Pavers</t>
  </si>
  <si>
    <r>
      <t>Choose a Pattern (</t>
    </r>
    <r>
      <rPr>
        <b/>
        <i/>
        <sz val="11"/>
        <rFont val="Calibri"/>
        <family val="2"/>
      </rPr>
      <t>List</t>
    </r>
    <r>
      <rPr>
        <sz val="11"/>
        <rFont val="Calibri"/>
        <family val="2"/>
      </rPr>
      <t>)</t>
    </r>
  </si>
  <si>
    <r>
      <t>Total Job Square Footage (</t>
    </r>
    <r>
      <rPr>
        <b/>
        <i/>
        <sz val="11"/>
        <color theme="1"/>
        <rFont val="Calibri"/>
        <family val="2"/>
        <scheme val="minor"/>
      </rPr>
      <t>Enter Value</t>
    </r>
    <r>
      <rPr>
        <sz val="11"/>
        <color theme="1"/>
        <rFont val="Calibri"/>
        <family val="2"/>
        <scheme val="minor"/>
      </rPr>
      <t>)</t>
    </r>
  </si>
  <si>
    <r>
      <t>Choose Project Type (</t>
    </r>
    <r>
      <rPr>
        <b/>
        <i/>
        <sz val="11"/>
        <color theme="1"/>
        <rFont val="Calibri"/>
        <family val="2"/>
        <scheme val="minor"/>
      </rPr>
      <t>List</t>
    </r>
    <r>
      <rPr>
        <sz val="11"/>
        <color theme="1"/>
        <rFont val="Calibri"/>
        <family val="2"/>
        <scheme val="minor"/>
      </rPr>
      <t>)</t>
    </r>
  </si>
  <si>
    <r>
      <t>Choose Border Paver Type (</t>
    </r>
    <r>
      <rPr>
        <b/>
        <i/>
        <sz val="11"/>
        <rFont val="Calibri"/>
        <family val="2"/>
      </rPr>
      <t>List</t>
    </r>
    <r>
      <rPr>
        <sz val="11"/>
        <rFont val="Calibri"/>
        <family val="2"/>
      </rPr>
      <t>)</t>
    </r>
  </si>
  <si>
    <r>
      <t>Total Border Linear Feet (</t>
    </r>
    <r>
      <rPr>
        <b/>
        <i/>
        <sz val="11"/>
        <color theme="1"/>
        <rFont val="Calibri"/>
        <family val="2"/>
        <scheme val="minor"/>
      </rPr>
      <t>Enter Value</t>
    </r>
    <r>
      <rPr>
        <sz val="11"/>
        <color theme="1"/>
        <rFont val="Calibri"/>
        <family val="2"/>
        <scheme val="minor"/>
      </rPr>
      <t>)</t>
    </r>
  </si>
  <si>
    <t>&lt;&lt;-- Click to Select Option - Drop Down</t>
  </si>
  <si>
    <t xml:space="preserve">This tool provides an estimate of the materials needed and Aspire by Brava is not responsible for overages and shortages. </t>
  </si>
  <si>
    <r>
      <t xml:space="preserve">Please refer to the </t>
    </r>
    <r>
      <rPr>
        <b/>
        <sz val="8"/>
        <color theme="1"/>
        <rFont val="Calibri"/>
        <family val="2"/>
        <scheme val="minor"/>
      </rPr>
      <t>Aspire Installation Guide</t>
    </r>
    <r>
      <rPr>
        <sz val="8"/>
        <color theme="1"/>
        <rFont val="Calibri"/>
        <family val="2"/>
        <scheme val="minor"/>
      </rPr>
      <t xml:space="preserve"> in the Resources section at aspirepavers.com for more information</t>
    </r>
  </si>
  <si>
    <t>Installation Grids</t>
  </si>
  <si>
    <t>Low
5% Waste</t>
  </si>
  <si>
    <t>High
20% Waste</t>
  </si>
  <si>
    <t>Medium
10% Waste</t>
  </si>
  <si>
    <t>Order Summary with Waste ¹</t>
  </si>
  <si>
    <t>Transition Pavers ²</t>
  </si>
  <si>
    <t>¹ Waste factor varies by job and can range from 0% to 20% or more. For most jobs, a 10% waste factor is sufficent however your situation may vary.</t>
  </si>
  <si>
    <t>Bullnose Pavers ²</t>
  </si>
  <si>
    <t>² Order summary shows individual pieces needed (not box quantities)</t>
  </si>
  <si>
    <t>Zero
0% Waste</t>
  </si>
  <si>
    <t>16x16 Pavers with Grid</t>
  </si>
  <si>
    <t>4x8 Running Bond</t>
  </si>
  <si>
    <t>8x8 Running Bond</t>
  </si>
  <si>
    <t>16x16 Running Bond</t>
  </si>
  <si>
    <t>8x8 Squares</t>
  </si>
  <si>
    <t>16x16 Squares</t>
  </si>
  <si>
    <t>Assumptions</t>
  </si>
  <si>
    <t>Patterns</t>
  </si>
  <si>
    <t>R&amp;P Project Type</t>
  </si>
  <si>
    <t>Project Type-R&amp;P</t>
  </si>
  <si>
    <t>R&amp;P Pattern</t>
  </si>
  <si>
    <t>Project Type-Driveway</t>
  </si>
  <si>
    <t>Driveway Pattern</t>
  </si>
  <si>
    <t>Driveway Project Type</t>
  </si>
  <si>
    <t>Driveway</t>
  </si>
  <si>
    <t>Soldier</t>
  </si>
  <si>
    <t>Soldier ²</t>
  </si>
  <si>
    <t>Permeable</t>
  </si>
  <si>
    <t>Rooftop, Patio, &amp; Driveway</t>
  </si>
  <si>
    <t>Running Bond</t>
  </si>
  <si>
    <r>
      <t xml:space="preserve">Aspire Pavers Estimator - </t>
    </r>
    <r>
      <rPr>
        <b/>
        <i/>
        <sz val="20"/>
        <color theme="1"/>
        <rFont val="Calibri"/>
        <family val="2"/>
        <scheme val="minor"/>
      </rPr>
      <t>Permeable</t>
    </r>
  </si>
  <si>
    <r>
      <t xml:space="preserve">Aspire Pavers Estimator - </t>
    </r>
    <r>
      <rPr>
        <b/>
        <i/>
        <sz val="20"/>
        <color theme="1"/>
        <rFont val="Calibri"/>
        <family val="2"/>
        <scheme val="minor"/>
      </rPr>
      <t>Driveway</t>
    </r>
  </si>
  <si>
    <r>
      <t xml:space="preserve">Aspire Pavers Estimator - </t>
    </r>
    <r>
      <rPr>
        <b/>
        <i/>
        <sz val="20"/>
        <color theme="1"/>
        <rFont val="Calibri"/>
        <family val="2"/>
        <scheme val="minor"/>
      </rPr>
      <t>Rooftop &amp; Patio</t>
    </r>
  </si>
  <si>
    <t>For Every Bullnose Paver</t>
  </si>
  <si>
    <t>For Transition Paver</t>
  </si>
  <si>
    <t>For Full Soldier</t>
  </si>
  <si>
    <t>For Soldier Pavers</t>
  </si>
  <si>
    <t>Pinwheel</t>
  </si>
  <si>
    <t>Grids with 4 Pavers (8"x8" Pavers)</t>
  </si>
  <si>
    <t>Grids with 8 Pavers (4"x8" Pavers)</t>
  </si>
  <si>
    <t>Grids with 16 Pavers (4"x4" Pavers)</t>
  </si>
  <si>
    <t>Drain Sheet Rolls (covers 200 square feet)</t>
  </si>
  <si>
    <t>Grids with 1 Paver (16"x16" Paver)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</si>
</sst>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"/>
    <numFmt numFmtId="165" formatCode="0.0%"/>
    <numFmt numFmtId="166" formatCode="##,###,##0"/>
    <numFmt numFmtId="167" formatCode="##,##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9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44" fontId="2" fillId="0" borderId="0"/>
  </cellStyleXfs>
  <cellXfs count="33">
    <xf numFmtId="0" fontId="0" fillId="0" borderId="0" xfId="0"/>
    <xf numFmtId="0" fontId="5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1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Continuous"/>
    </xf>
    <xf numFmtId="0" fontId="3" fillId="3" borderId="1" xfId="0" applyFont="1" applyFill="1" applyBorder="1"/>
    <xf numFmtId="165" fontId="0" fillId="0" borderId="0" xfId="0" applyNumberFormat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6" fillId="2" borderId="4" xfId="0" applyFont="1" applyFill="1" applyBorder="1" applyAlignment="1">
      <alignment horizontal="centerContinuous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6" fillId="2" borderId="0" xfId="0" applyFont="1" applyFill="1" applyAlignment="1">
      <alignment horizontal="center" wrapText="1"/>
    </xf>
    <xf numFmtId="0" fontId="10" fillId="0" borderId="0" xfId="0" applyFont="1"/>
    <xf numFmtId="0" fontId="12" fillId="0" borderId="0" xfId="0" applyFont="1"/>
    <xf numFmtId="0" fontId="6" fillId="2" borderId="2" xfId="0" applyFont="1" applyFill="1" applyBorder="1" applyAlignment="1">
      <alignment horizontal="centerContinuous"/>
    </xf>
    <xf numFmtId="167" fontId="0" fillId="0" borderId="0" xfId="0" applyNumberFormat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0" xfId="0" applyFill="1" applyAlignment="1">
      <alignment horizontal="centerContinuous"/>
    </xf>
    <xf numFmtId="0" fontId="7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0" fillId="0" borderId="10" xfId="0" applyBorder="1"/>
    <xf numFmtId="165" fontId="0" fillId="0" borderId="11" xfId="0" applyNumberFormat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166" fontId="8" fillId="0" borderId="5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</cellXfs>
  <cellStyles count="5">
    <cellStyle name="Currency 2" xfId="3" xr:uid="{3B601F0F-2F4D-43D4-9880-C65292D68044}"/>
    <cellStyle name="Currency 3" xfId="4" xr:uid="{E2150CFA-529D-4CD9-BA4D-19BC1BB3E89C}"/>
    <cellStyle name="Normal" xfId="0" builtinId="0"/>
    <cellStyle name="Normal 2" xfId="1" xr:uid="{E9385ABC-5C95-4EB5-8EC3-E17D981BACF4}"/>
    <cellStyle name="Normal 2 2" xfId="2" xr:uid="{368AF655-17B6-4D1F-9D5C-6FA38DFA91C0}"/>
  </cellStyles>
  <dxfs count="0"/>
  <tableStyles count="0" defaultTableStyle="TableStyleMedium2" defaultPivotStyle="PivotStyleLight16"/>
  <colors>
    <mruColors>
      <color rgb="FFFFFF9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97069</xdr:colOff>
      <xdr:row>2</xdr:row>
      <xdr:rowOff>42149</xdr:rowOff>
    </xdr:from>
    <xdr:to>
      <xdr:col>5</xdr:col>
      <xdr:colOff>1028346</xdr:colOff>
      <xdr:row>3</xdr:row>
      <xdr:rowOff>96439</xdr:rowOff>
    </xdr:to>
    <xdr:pic>
      <xdr:nvPicPr>
        <xdr:cNvPr id="2" name="Picture 1" descr="ASPIRE | ASPIRE Roof Deck Pavers, Resurfacing Pavers, In Ground Pavers">
          <a:extLst>
            <a:ext uri="{FF2B5EF4-FFF2-40B4-BE49-F238E27FC236}">
              <a16:creationId xmlns:a16="http://schemas.microsoft.com/office/drawing/2014/main" id="{E9944CF3-4E71-DF70-AB7E-80D72C8C1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857" y="423149"/>
          <a:ext cx="931277" cy="387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472591</xdr:colOff>
      <xdr:row>27</xdr:row>
      <xdr:rowOff>38364</xdr:rowOff>
    </xdr:from>
    <xdr:to>
      <xdr:col>5</xdr:col>
      <xdr:colOff>250372</xdr:colOff>
      <xdr:row>33</xdr:row>
      <xdr:rowOff>160504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63EDEC-3085-2684-4009-672737A1A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2591" y="5399578"/>
          <a:ext cx="6668438" cy="1199826"/>
        </a:xfrm>
        <a:prstGeom prst="rect">
          <a:avLst/>
        </a:prstGeom>
      </xdr:spPr>
    </xdr:pic>
    <xdr:clientData/>
  </xdr:twoCellAnchor>
  <xdr:twoCellAnchor editAs="oneCell">
    <xdr:from>
      <xdr:col>5</xdr:col>
      <xdr:colOff>192796</xdr:colOff>
      <xdr:row>27</xdr:row>
      <xdr:rowOff>22656</xdr:rowOff>
    </xdr:from>
    <xdr:to>
      <xdr:col>5</xdr:col>
      <xdr:colOff>1190355</xdr:colOff>
      <xdr:row>33</xdr:row>
      <xdr:rowOff>173785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472A00-ECE8-8254-DA85-8CE9C88B8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906279" y="5501173"/>
          <a:ext cx="997559" cy="1294129"/>
        </a:xfrm>
        <a:prstGeom prst="rect">
          <a:avLst/>
        </a:prstGeom>
      </xdr:spPr>
    </xdr:pic>
    <xdr:clientData/>
  </xdr:twoCellAnchor>
  <xdr:twoCellAnchor>
    <xdr:from>
      <xdr:col>3</xdr:col>
      <xdr:colOff>725056</xdr:colOff>
      <xdr:row>32</xdr:row>
      <xdr:rowOff>150981</xdr:rowOff>
    </xdr:from>
    <xdr:to>
      <xdr:col>4</xdr:col>
      <xdr:colOff>324046</xdr:colOff>
      <xdr:row>33</xdr:row>
      <xdr:rowOff>178646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7D91B6F-5B0B-49EE-B95E-3ED2E5ED910F}"/>
            </a:ext>
          </a:extLst>
        </xdr:cNvPr>
        <xdr:cNvSpPr txBox="1"/>
      </xdr:nvSpPr>
      <xdr:spPr>
        <a:xfrm>
          <a:off x="4942332" y="6581998"/>
          <a:ext cx="847093" cy="218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Pinwheel</a:t>
          </a:r>
        </a:p>
      </xdr:txBody>
    </xdr:sp>
    <xdr:clientData/>
  </xdr:twoCellAnchor>
  <xdr:twoCellAnchor>
    <xdr:from>
      <xdr:col>2</xdr:col>
      <xdr:colOff>809981</xdr:colOff>
      <xdr:row>32</xdr:row>
      <xdr:rowOff>150981</xdr:rowOff>
    </xdr:from>
    <xdr:to>
      <xdr:col>3</xdr:col>
      <xdr:colOff>586859</xdr:colOff>
      <xdr:row>33</xdr:row>
      <xdr:rowOff>178646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A219F57-A903-490C-A84D-18338B951105}"/>
            </a:ext>
          </a:extLst>
        </xdr:cNvPr>
        <xdr:cNvSpPr txBox="1"/>
      </xdr:nvSpPr>
      <xdr:spPr>
        <a:xfrm>
          <a:off x="3779153" y="6581998"/>
          <a:ext cx="1024982" cy="218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Block</a:t>
          </a:r>
          <a:r>
            <a:rPr lang="en-US" sz="1100" baseline="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 Lattice</a:t>
          </a:r>
          <a:endParaRPr lang="en-US" sz="1100">
            <a:latin typeface="Cambria" panose="02040503050406030204" pitchFamily="18" charset="0"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389759</xdr:colOff>
      <xdr:row>32</xdr:row>
      <xdr:rowOff>150981</xdr:rowOff>
    </xdr:from>
    <xdr:to>
      <xdr:col>5</xdr:col>
      <xdr:colOff>166637</xdr:colOff>
      <xdr:row>33</xdr:row>
      <xdr:rowOff>178646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90648FB-3D52-42AF-BF51-6D4E0313AF12}"/>
            </a:ext>
          </a:extLst>
        </xdr:cNvPr>
        <xdr:cNvSpPr txBox="1"/>
      </xdr:nvSpPr>
      <xdr:spPr>
        <a:xfrm>
          <a:off x="5855138" y="6581998"/>
          <a:ext cx="1024982" cy="218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Plainweave</a:t>
          </a:r>
        </a:p>
      </xdr:txBody>
    </xdr:sp>
    <xdr:clientData/>
  </xdr:twoCellAnchor>
  <xdr:twoCellAnchor>
    <xdr:from>
      <xdr:col>1</xdr:col>
      <xdr:colOff>12764</xdr:colOff>
      <xdr:row>32</xdr:row>
      <xdr:rowOff>150981</xdr:rowOff>
    </xdr:from>
    <xdr:to>
      <xdr:col>1</xdr:col>
      <xdr:colOff>1037746</xdr:colOff>
      <xdr:row>33</xdr:row>
      <xdr:rowOff>178646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E7B841C-B464-4274-8CA6-0A754B4D5BB9}"/>
            </a:ext>
          </a:extLst>
        </xdr:cNvPr>
        <xdr:cNvSpPr txBox="1"/>
      </xdr:nvSpPr>
      <xdr:spPr>
        <a:xfrm>
          <a:off x="590833" y="6581998"/>
          <a:ext cx="1024982" cy="218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Basketweave</a:t>
          </a:r>
        </a:p>
      </xdr:txBody>
    </xdr:sp>
    <xdr:clientData/>
  </xdr:twoCellAnchor>
  <xdr:twoCellAnchor>
    <xdr:from>
      <xdr:col>1</xdr:col>
      <xdr:colOff>1075847</xdr:colOff>
      <xdr:row>32</xdr:row>
      <xdr:rowOff>150981</xdr:rowOff>
    </xdr:from>
    <xdr:to>
      <xdr:col>1</xdr:col>
      <xdr:colOff>2100829</xdr:colOff>
      <xdr:row>33</xdr:row>
      <xdr:rowOff>178646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0BC4F37-BBF9-4F59-AFB1-411A528099BC}"/>
            </a:ext>
          </a:extLst>
        </xdr:cNvPr>
        <xdr:cNvSpPr txBox="1"/>
      </xdr:nvSpPr>
      <xdr:spPr>
        <a:xfrm>
          <a:off x="1653916" y="6581998"/>
          <a:ext cx="1024982" cy="218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Herringbone</a:t>
          </a:r>
        </a:p>
      </xdr:txBody>
    </xdr:sp>
    <xdr:clientData/>
  </xdr:twoCellAnchor>
  <xdr:twoCellAnchor>
    <xdr:from>
      <xdr:col>1</xdr:col>
      <xdr:colOff>2137921</xdr:colOff>
      <xdr:row>32</xdr:row>
      <xdr:rowOff>150981</xdr:rowOff>
    </xdr:from>
    <xdr:to>
      <xdr:col>2</xdr:col>
      <xdr:colOff>792402</xdr:colOff>
      <xdr:row>33</xdr:row>
      <xdr:rowOff>178646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55627C7-6F40-4575-A85D-CF69BF005D90}"/>
            </a:ext>
          </a:extLst>
        </xdr:cNvPr>
        <xdr:cNvSpPr txBox="1"/>
      </xdr:nvSpPr>
      <xdr:spPr>
        <a:xfrm>
          <a:off x="2715990" y="6581998"/>
          <a:ext cx="1045584" cy="218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Running Bond</a:t>
          </a:r>
        </a:p>
      </xdr:txBody>
    </xdr:sp>
    <xdr:clientData/>
  </xdr:twoCellAnchor>
  <xdr:twoCellAnchor>
    <xdr:from>
      <xdr:col>5</xdr:col>
      <xdr:colOff>181499</xdr:colOff>
      <xdr:row>32</xdr:row>
      <xdr:rowOff>150981</xdr:rowOff>
    </xdr:from>
    <xdr:to>
      <xdr:col>5</xdr:col>
      <xdr:colOff>1206481</xdr:colOff>
      <xdr:row>33</xdr:row>
      <xdr:rowOff>178646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CCBACAF-D24D-4E04-A42B-284377A9F245}"/>
            </a:ext>
          </a:extLst>
        </xdr:cNvPr>
        <xdr:cNvSpPr txBox="1"/>
      </xdr:nvSpPr>
      <xdr:spPr>
        <a:xfrm>
          <a:off x="6894982" y="6581998"/>
          <a:ext cx="1024982" cy="218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Squared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97069</xdr:colOff>
      <xdr:row>2</xdr:row>
      <xdr:rowOff>42149</xdr:rowOff>
    </xdr:from>
    <xdr:to>
      <xdr:col>5</xdr:col>
      <xdr:colOff>1028346</xdr:colOff>
      <xdr:row>3</xdr:row>
      <xdr:rowOff>92629</xdr:rowOff>
    </xdr:to>
    <xdr:pic>
      <xdr:nvPicPr>
        <xdr:cNvPr id="2" name="Picture 1" descr="ASPIRE | ASPIRE Roof Deck Pavers, Resurfacing Pavers, In Ground Pavers">
          <a:extLst>
            <a:ext uri="{FF2B5EF4-FFF2-40B4-BE49-F238E27FC236}">
              <a16:creationId xmlns:a16="http://schemas.microsoft.com/office/drawing/2014/main" id="{C2FEEBA8-9D54-4953-ACF8-F50BA10F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194" y="423149"/>
          <a:ext cx="931277" cy="38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501968</xdr:colOff>
      <xdr:row>23</xdr:row>
      <xdr:rowOff>20035</xdr:rowOff>
    </xdr:from>
    <xdr:to>
      <xdr:col>5</xdr:col>
      <xdr:colOff>267646</xdr:colOff>
      <xdr:row>29</xdr:row>
      <xdr:rowOff>172295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574939F-E04F-419A-A761-A554A2803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968" y="4633707"/>
          <a:ext cx="6635584" cy="1223822"/>
        </a:xfrm>
        <a:prstGeom prst="rect">
          <a:avLst/>
        </a:prstGeom>
      </xdr:spPr>
    </xdr:pic>
    <xdr:clientData/>
  </xdr:twoCellAnchor>
  <xdr:twoCellAnchor editAs="oneCell">
    <xdr:from>
      <xdr:col>5</xdr:col>
      <xdr:colOff>225646</xdr:colOff>
      <xdr:row>22</xdr:row>
      <xdr:rowOff>188445</xdr:rowOff>
    </xdr:from>
    <xdr:to>
      <xdr:col>5</xdr:col>
      <xdr:colOff>1191491</xdr:colOff>
      <xdr:row>29</xdr:row>
      <xdr:rowOff>170451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5A6D9BB-C588-429B-B7D9-A80E2CBA6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948902" y="4713982"/>
          <a:ext cx="965845" cy="1315506"/>
        </a:xfrm>
        <a:prstGeom prst="rect">
          <a:avLst/>
        </a:prstGeom>
      </xdr:spPr>
    </xdr:pic>
    <xdr:clientData/>
  </xdr:twoCellAnchor>
  <xdr:twoCellAnchor>
    <xdr:from>
      <xdr:col>3</xdr:col>
      <xdr:colOff>739965</xdr:colOff>
      <xdr:row>28</xdr:row>
      <xdr:rowOff>146136</xdr:rowOff>
    </xdr:from>
    <xdr:to>
      <xdr:col>4</xdr:col>
      <xdr:colOff>337192</xdr:colOff>
      <xdr:row>29</xdr:row>
      <xdr:rowOff>173801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364B178-E4AE-9184-1D35-86A9BC4BF0BC}"/>
            </a:ext>
          </a:extLst>
        </xdr:cNvPr>
        <xdr:cNvSpPr txBox="1"/>
      </xdr:nvSpPr>
      <xdr:spPr>
        <a:xfrm>
          <a:off x="4963489" y="5814673"/>
          <a:ext cx="847093" cy="218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Pinwheel</a:t>
          </a:r>
        </a:p>
      </xdr:txBody>
    </xdr:sp>
    <xdr:clientData/>
  </xdr:twoCellAnchor>
  <xdr:twoCellAnchor>
    <xdr:from>
      <xdr:col>2</xdr:col>
      <xdr:colOff>826651</xdr:colOff>
      <xdr:row>28</xdr:row>
      <xdr:rowOff>146136</xdr:rowOff>
    </xdr:from>
    <xdr:to>
      <xdr:col>3</xdr:col>
      <xdr:colOff>601768</xdr:colOff>
      <xdr:row>29</xdr:row>
      <xdr:rowOff>173801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C6C3A76-61CC-4F7F-8721-A86DCA22F85F}"/>
            </a:ext>
          </a:extLst>
        </xdr:cNvPr>
        <xdr:cNvSpPr txBox="1"/>
      </xdr:nvSpPr>
      <xdr:spPr>
        <a:xfrm>
          <a:off x="3800310" y="5814673"/>
          <a:ext cx="1024982" cy="218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Block</a:t>
          </a:r>
          <a:r>
            <a:rPr lang="en-US" sz="1100" baseline="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 Lattice</a:t>
          </a:r>
          <a:endParaRPr lang="en-US" sz="1100">
            <a:latin typeface="Cambria" panose="02040503050406030204" pitchFamily="18" charset="0"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402905</xdr:colOff>
      <xdr:row>28</xdr:row>
      <xdr:rowOff>146136</xdr:rowOff>
    </xdr:from>
    <xdr:to>
      <xdr:col>5</xdr:col>
      <xdr:colOff>178021</xdr:colOff>
      <xdr:row>29</xdr:row>
      <xdr:rowOff>173801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0441072-2279-4592-B0B0-6C6FB8723E04}"/>
            </a:ext>
          </a:extLst>
        </xdr:cNvPr>
        <xdr:cNvSpPr txBox="1"/>
      </xdr:nvSpPr>
      <xdr:spPr>
        <a:xfrm>
          <a:off x="5876295" y="5814673"/>
          <a:ext cx="1024982" cy="218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Plainweave</a:t>
          </a:r>
        </a:p>
      </xdr:txBody>
    </xdr:sp>
    <xdr:clientData/>
  </xdr:twoCellAnchor>
  <xdr:twoCellAnchor>
    <xdr:from>
      <xdr:col>1</xdr:col>
      <xdr:colOff>31197</xdr:colOff>
      <xdr:row>28</xdr:row>
      <xdr:rowOff>146136</xdr:rowOff>
    </xdr:from>
    <xdr:to>
      <xdr:col>1</xdr:col>
      <xdr:colOff>1056179</xdr:colOff>
      <xdr:row>29</xdr:row>
      <xdr:rowOff>173801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C533413-AACC-411A-87F6-4A05EC2231DB}"/>
            </a:ext>
          </a:extLst>
        </xdr:cNvPr>
        <xdr:cNvSpPr txBox="1"/>
      </xdr:nvSpPr>
      <xdr:spPr>
        <a:xfrm>
          <a:off x="611990" y="5814673"/>
          <a:ext cx="1024982" cy="218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Basketweave</a:t>
          </a:r>
        </a:p>
      </xdr:txBody>
    </xdr:sp>
    <xdr:clientData/>
  </xdr:twoCellAnchor>
  <xdr:twoCellAnchor>
    <xdr:from>
      <xdr:col>1</xdr:col>
      <xdr:colOff>1094280</xdr:colOff>
      <xdr:row>28</xdr:row>
      <xdr:rowOff>146136</xdr:rowOff>
    </xdr:from>
    <xdr:to>
      <xdr:col>1</xdr:col>
      <xdr:colOff>2119262</xdr:colOff>
      <xdr:row>29</xdr:row>
      <xdr:rowOff>173801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BD841C1-8308-431B-8063-FE45258549D7}"/>
            </a:ext>
          </a:extLst>
        </xdr:cNvPr>
        <xdr:cNvSpPr txBox="1"/>
      </xdr:nvSpPr>
      <xdr:spPr>
        <a:xfrm>
          <a:off x="1675073" y="5814673"/>
          <a:ext cx="1024982" cy="218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Herringbone</a:t>
          </a:r>
        </a:p>
      </xdr:txBody>
    </xdr:sp>
    <xdr:clientData/>
  </xdr:twoCellAnchor>
  <xdr:twoCellAnchor>
    <xdr:from>
      <xdr:col>1</xdr:col>
      <xdr:colOff>2156354</xdr:colOff>
      <xdr:row>28</xdr:row>
      <xdr:rowOff>146136</xdr:rowOff>
    </xdr:from>
    <xdr:to>
      <xdr:col>2</xdr:col>
      <xdr:colOff>809072</xdr:colOff>
      <xdr:row>29</xdr:row>
      <xdr:rowOff>173801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A5E2976-D839-40C0-AFA9-BF34423C612E}"/>
            </a:ext>
          </a:extLst>
        </xdr:cNvPr>
        <xdr:cNvSpPr txBox="1"/>
      </xdr:nvSpPr>
      <xdr:spPr>
        <a:xfrm>
          <a:off x="2737147" y="5814673"/>
          <a:ext cx="1045584" cy="218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Running Bond</a:t>
          </a:r>
        </a:p>
      </xdr:txBody>
    </xdr:sp>
    <xdr:clientData/>
  </xdr:twoCellAnchor>
  <xdr:twoCellAnchor>
    <xdr:from>
      <xdr:col>5</xdr:col>
      <xdr:colOff>192883</xdr:colOff>
      <xdr:row>28</xdr:row>
      <xdr:rowOff>146136</xdr:rowOff>
    </xdr:from>
    <xdr:to>
      <xdr:col>5</xdr:col>
      <xdr:colOff>1217865</xdr:colOff>
      <xdr:row>29</xdr:row>
      <xdr:rowOff>173801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8E68008-F629-47B5-B2E1-E6C8EB1DED8C}"/>
            </a:ext>
          </a:extLst>
        </xdr:cNvPr>
        <xdr:cNvSpPr txBox="1"/>
      </xdr:nvSpPr>
      <xdr:spPr>
        <a:xfrm>
          <a:off x="6916139" y="5814673"/>
          <a:ext cx="1024982" cy="218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Squared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97069</xdr:colOff>
      <xdr:row>2</xdr:row>
      <xdr:rowOff>42149</xdr:rowOff>
    </xdr:from>
    <xdr:to>
      <xdr:col>5</xdr:col>
      <xdr:colOff>1028346</xdr:colOff>
      <xdr:row>3</xdr:row>
      <xdr:rowOff>92629</xdr:rowOff>
    </xdr:to>
    <xdr:pic>
      <xdr:nvPicPr>
        <xdr:cNvPr id="2" name="Picture 1" descr="ASPIRE | ASPIRE Roof Deck Pavers, Resurfacing Pavers, In Ground Pavers">
          <a:extLst>
            <a:ext uri="{FF2B5EF4-FFF2-40B4-BE49-F238E27FC236}">
              <a16:creationId xmlns:a16="http://schemas.microsoft.com/office/drawing/2014/main" id="{94681E7C-585A-4F86-AD00-A7A25135C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0309" y="406004"/>
          <a:ext cx="935087" cy="37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451614</xdr:colOff>
      <xdr:row>21</xdr:row>
      <xdr:rowOff>6647</xdr:rowOff>
    </xdr:from>
    <xdr:to>
      <xdr:col>2</xdr:col>
      <xdr:colOff>1235869</xdr:colOff>
      <xdr:row>28</xdr:row>
      <xdr:rowOff>132943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1037C7-B95B-422D-8500-CC944F2724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0140"/>
        <a:stretch/>
      </xdr:blipFill>
      <xdr:spPr>
        <a:xfrm>
          <a:off x="451614" y="4263131"/>
          <a:ext cx="3824635" cy="1385978"/>
        </a:xfrm>
        <a:prstGeom prst="rect">
          <a:avLst/>
        </a:prstGeom>
      </xdr:spPr>
    </xdr:pic>
    <xdr:clientData/>
  </xdr:twoCellAnchor>
  <xdr:twoCellAnchor>
    <xdr:from>
      <xdr:col>1</xdr:col>
      <xdr:colOff>65484</xdr:colOff>
      <xdr:row>27</xdr:row>
      <xdr:rowOff>89297</xdr:rowOff>
    </xdr:from>
    <xdr:to>
      <xdr:col>1</xdr:col>
      <xdr:colOff>1090466</xdr:colOff>
      <xdr:row>28</xdr:row>
      <xdr:rowOff>116962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A9DE07A-BBEE-43D4-B3EB-0C803CAEB157}"/>
            </a:ext>
          </a:extLst>
        </xdr:cNvPr>
        <xdr:cNvSpPr txBox="1"/>
      </xdr:nvSpPr>
      <xdr:spPr>
        <a:xfrm>
          <a:off x="648890" y="5566172"/>
          <a:ext cx="1024982" cy="218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Basketweave</a:t>
          </a:r>
        </a:p>
      </xdr:txBody>
    </xdr:sp>
    <xdr:clientData/>
  </xdr:twoCellAnchor>
  <xdr:twoCellAnchor>
    <xdr:from>
      <xdr:col>1</xdr:col>
      <xdr:colOff>1342879</xdr:colOff>
      <xdr:row>27</xdr:row>
      <xdr:rowOff>89297</xdr:rowOff>
    </xdr:from>
    <xdr:to>
      <xdr:col>1</xdr:col>
      <xdr:colOff>2367861</xdr:colOff>
      <xdr:row>28</xdr:row>
      <xdr:rowOff>116962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61EF795-50B4-4B05-B319-66FAE1BDBCC0}"/>
            </a:ext>
          </a:extLst>
        </xdr:cNvPr>
        <xdr:cNvSpPr txBox="1"/>
      </xdr:nvSpPr>
      <xdr:spPr>
        <a:xfrm>
          <a:off x="1926285" y="5566172"/>
          <a:ext cx="1024982" cy="218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Herringbone</a:t>
          </a:r>
        </a:p>
      </xdr:txBody>
    </xdr:sp>
    <xdr:clientData/>
  </xdr:twoCellAnchor>
  <xdr:twoCellAnchor>
    <xdr:from>
      <xdr:col>2</xdr:col>
      <xdr:colOff>160625</xdr:colOff>
      <xdr:row>27</xdr:row>
      <xdr:rowOff>89297</xdr:rowOff>
    </xdr:from>
    <xdr:to>
      <xdr:col>2</xdr:col>
      <xdr:colOff>1208263</xdr:colOff>
      <xdr:row>28</xdr:row>
      <xdr:rowOff>116962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414839D-B737-47BF-B037-B81B02652517}"/>
            </a:ext>
          </a:extLst>
        </xdr:cNvPr>
        <xdr:cNvSpPr txBox="1"/>
      </xdr:nvSpPr>
      <xdr:spPr>
        <a:xfrm>
          <a:off x="3137188" y="5566172"/>
          <a:ext cx="1047638" cy="218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Running Bond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FE4BC-DD12-439F-8CF3-2893AFAAFAFE}">
  <sheetPr>
    <pageSetUpPr fitToPage="1"/>
  </sheetPr>
  <dimension ref="B3:K27"/>
  <sheetViews>
    <sheetView showGridLines="0" tabSelected="1" zoomScale="160" zoomScaleNormal="160" workbookViewId="0"/>
  </sheetViews>
  <sheetFormatPr defaultColWidth="8.7109375" defaultRowHeight="15" x14ac:dyDescent="0.25"/>
  <cols>
    <col min="2" max="2" width="35.85546875" customWidth="1"/>
    <col min="3" max="6" width="18.7109375" customWidth="1"/>
    <col min="9" max="11" width="16.7109375" customWidth="1"/>
  </cols>
  <sheetData>
    <row r="3" spans="2:6" ht="26.25" x14ac:dyDescent="0.4">
      <c r="B3" s="17" t="s">
        <v>60</v>
      </c>
      <c r="C3" s="17"/>
    </row>
    <row r="5" spans="2:6" x14ac:dyDescent="0.25">
      <c r="B5" s="21" t="s">
        <v>44</v>
      </c>
      <c r="C5" s="18"/>
      <c r="D5" s="22"/>
      <c r="E5" s="22"/>
      <c r="F5" s="23"/>
    </row>
    <row r="6" spans="2:6" x14ac:dyDescent="0.25">
      <c r="B6" t="s">
        <v>22</v>
      </c>
      <c r="C6" s="30" t="s">
        <v>4</v>
      </c>
      <c r="D6" t="s">
        <v>25</v>
      </c>
    </row>
    <row r="7" spans="2:6" x14ac:dyDescent="0.25">
      <c r="B7" t="s">
        <v>21</v>
      </c>
      <c r="C7" s="31">
        <v>0</v>
      </c>
    </row>
    <row r="8" spans="2:6" x14ac:dyDescent="0.25">
      <c r="B8" s="1" t="s">
        <v>20</v>
      </c>
      <c r="C8" s="32" t="s">
        <v>0</v>
      </c>
      <c r="D8" t="s">
        <v>25</v>
      </c>
    </row>
    <row r="9" spans="2:6" x14ac:dyDescent="0.25">
      <c r="B9" s="1" t="s">
        <v>23</v>
      </c>
      <c r="C9" s="32" t="s">
        <v>7</v>
      </c>
      <c r="D9" t="s">
        <v>25</v>
      </c>
    </row>
    <row r="10" spans="2:6" x14ac:dyDescent="0.25">
      <c r="B10" t="s">
        <v>24</v>
      </c>
      <c r="C10" s="31">
        <v>0</v>
      </c>
    </row>
    <row r="12" spans="2:6" x14ac:dyDescent="0.25">
      <c r="B12" s="12" t="s">
        <v>32</v>
      </c>
      <c r="C12" s="12"/>
      <c r="D12" s="12"/>
      <c r="E12" s="12"/>
      <c r="F12" s="12"/>
    </row>
    <row r="13" spans="2:6" ht="30" x14ac:dyDescent="0.25">
      <c r="B13" s="20" t="s">
        <v>17</v>
      </c>
      <c r="C13" s="15" t="s">
        <v>37</v>
      </c>
      <c r="D13" s="15" t="s">
        <v>29</v>
      </c>
      <c r="E13" s="15" t="s">
        <v>31</v>
      </c>
      <c r="F13" s="15" t="s">
        <v>30</v>
      </c>
    </row>
    <row r="14" spans="2:6" x14ac:dyDescent="0.25">
      <c r="B14" t="s">
        <v>70</v>
      </c>
      <c r="C14" s="14">
        <f>ROUNDUP(($C$7/'Logic &amp; Lists'!$U$8*1)*HLOOKUP($C$8,'Logic &amp; Lists'!$H$2:$R$7,2,FALSE),0)</f>
        <v>0</v>
      </c>
      <c r="D14" s="14">
        <f>ROUNDUP(($C$7/'Logic &amp; Lists'!$U$8*1.05)*HLOOKUP($C$8,'Logic &amp; Lists'!$H$2:$R$7,2,FALSE),0)</f>
        <v>0</v>
      </c>
      <c r="E14" s="14">
        <f>ROUNDUP(($C$7/'Logic &amp; Lists'!$U$8*1.1)*HLOOKUP($C$8,'Logic &amp; Lists'!$H$2:$R$7,2,FALSE),0)</f>
        <v>0</v>
      </c>
      <c r="F14" s="14">
        <f>ROUNDUP(($C$7/'Logic &amp; Lists'!$U$8*1.2)*HLOOKUP($C$8,'Logic &amp; Lists'!$H$2:$R$7,2,FALSE),0)</f>
        <v>0</v>
      </c>
    </row>
    <row r="15" spans="2:6" x14ac:dyDescent="0.25">
      <c r="B15" t="s">
        <v>66</v>
      </c>
      <c r="C15" s="14">
        <f>ROUNDUP(($C$7/'Logic &amp; Lists'!$U$8*1)*HLOOKUP($C$8,'Logic &amp; Lists'!$H$2:$R$7,3,FALSE),0)</f>
        <v>0</v>
      </c>
      <c r="D15" s="14">
        <f>ROUNDUP(($C$7/'Logic &amp; Lists'!$U$8*1.05)*HLOOKUP($C$8,'Logic &amp; Lists'!$H$2:$R$7,3,FALSE),0)</f>
        <v>0</v>
      </c>
      <c r="E15" s="14">
        <f>ROUNDUP(($C$7/'Logic &amp; Lists'!$U$8*1.1)*HLOOKUP($C$8,'Logic &amp; Lists'!$H$2:$R$7,3,FALSE),0)</f>
        <v>0</v>
      </c>
      <c r="F15" s="14">
        <f>ROUNDUP(($C$7/'Logic &amp; Lists'!$U$8*1.2)*HLOOKUP($C$8,'Logic &amp; Lists'!$H$2:$R$7,3,FALSE),0)</f>
        <v>0</v>
      </c>
    </row>
    <row r="16" spans="2:6" x14ac:dyDescent="0.25">
      <c r="B16" t="s">
        <v>67</v>
      </c>
      <c r="C16" s="14">
        <f>ROUNDUP(($C$7/'Logic &amp; Lists'!$U$8*1)*HLOOKUP($C$8,'Logic &amp; Lists'!$H$2:$R$7,4,FALSE),0)</f>
        <v>0</v>
      </c>
      <c r="D16" s="14">
        <f>ROUNDUP(($C$7/'Logic &amp; Lists'!$U$8*1.05)*HLOOKUP($C$8,'Logic &amp; Lists'!$H$2:$R$7,4,FALSE),0)</f>
        <v>0</v>
      </c>
      <c r="E16" s="14">
        <f>ROUNDUP(($C$7/'Logic &amp; Lists'!$U$8*1.1)*HLOOKUP($C$8,'Logic &amp; Lists'!$H$2:$R$7,4,FALSE),0)</f>
        <v>0</v>
      </c>
      <c r="F16" s="14">
        <f>ROUNDUP(($C$7/'Logic &amp; Lists'!$U$8*1.2)*HLOOKUP($C$8,'Logic &amp; Lists'!$H$2:$R$7,4,FALSE),0)</f>
        <v>0</v>
      </c>
    </row>
    <row r="17" spans="2:11" x14ac:dyDescent="0.25">
      <c r="B17" t="s">
        <v>68</v>
      </c>
      <c r="C17" s="14">
        <f>ROUNDUP(($C$7/'Logic &amp; Lists'!$U$8*1)*HLOOKUP($C$8,'Logic &amp; Lists'!$H$2:$R$7,5,FALSE),0)</f>
        <v>0</v>
      </c>
      <c r="D17" s="14">
        <f>ROUNDUP(($C$7/'Logic &amp; Lists'!$U$8*1.05)*HLOOKUP($C$8,'Logic &amp; Lists'!$H$2:$R$7,5,FALSE),0)</f>
        <v>0</v>
      </c>
      <c r="E17" s="14">
        <f>ROUNDUP(($C$7/'Logic &amp; Lists'!$U$8*1.1)*HLOOKUP($C$8,'Logic &amp; Lists'!$H$2:$R$7,5,FALSE),0)</f>
        <v>0</v>
      </c>
      <c r="F17" s="14">
        <f>ROUNDUP(($C$7/'Logic &amp; Lists'!$U$8*1.2)*HLOOKUP($C$8,'Logic &amp; Lists'!$H$2:$R$7,5,FALSE),0)</f>
        <v>0</v>
      </c>
    </row>
    <row r="18" spans="2:11" x14ac:dyDescent="0.25">
      <c r="B18" t="s">
        <v>35</v>
      </c>
      <c r="C18" s="14">
        <f>IF($C$9="Bullnose",ROUNDUP(VLOOKUP($C$9,'Logic &amp; Lists'!$T$2:$U$4,2,FALSE)*$C$10*1,0),0)</f>
        <v>0</v>
      </c>
      <c r="D18" s="14">
        <f>IF($C$9="Bullnose",ROUNDUP(VLOOKUP($C$9,'Logic &amp; Lists'!$T$2:$U$4,2,FALSE)*$C$10*1.05,0),0)</f>
        <v>0</v>
      </c>
      <c r="E18" s="14">
        <f>IF($C$9="Bullnose",ROUNDUP(VLOOKUP($C$9,'Logic &amp; Lists'!$T$2:$U$4,2,FALSE)*$C$10*1.1,0),0)</f>
        <v>0</v>
      </c>
      <c r="F18" s="14">
        <f>IF($C$9="Bullnose",ROUNDUP(VLOOKUP($C$9,'Logic &amp; Lists'!$T$2:$U$4,2,FALSE)*$C$10*1.2,0),0)</f>
        <v>0</v>
      </c>
    </row>
    <row r="19" spans="2:11" x14ac:dyDescent="0.25">
      <c r="B19" t="s">
        <v>33</v>
      </c>
      <c r="C19" s="14">
        <f>IF($C$9="Transition",ROUNDUP(VLOOKUP($C$9,'Logic &amp; Lists'!$T$2:$U$4,2,FALSE)*$C$10*1,0),0)</f>
        <v>0</v>
      </c>
      <c r="D19" s="14">
        <f>IF($C$9="Transition",ROUNDUP(VLOOKUP($C$9,'Logic &amp; Lists'!$T$2:$U$4,2,FALSE)*$C$10*1.05,0),0)</f>
        <v>0</v>
      </c>
      <c r="E19" s="14">
        <f>IF($C$9="Transition",ROUNDUP(VLOOKUP($C$9,'Logic &amp; Lists'!$T$2:$U$4,2,FALSE)*$C$10*1.1,0),0)</f>
        <v>0</v>
      </c>
      <c r="F19" s="14">
        <f>IF($C$9="Transition",ROUNDUP(VLOOKUP($C$9,'Logic &amp; Lists'!$T$2:$U$4,2,FALSE)*$C$10*1.2,0),0)</f>
        <v>0</v>
      </c>
    </row>
    <row r="20" spans="2:11" x14ac:dyDescent="0.25">
      <c r="B20" t="s">
        <v>69</v>
      </c>
      <c r="C20" s="14">
        <f>ROUNDUP(IF($C$6="Rooftop",$C$7/'Logic &amp; Lists'!$X$3*1,0),0)</f>
        <v>0</v>
      </c>
      <c r="D20" s="14">
        <f>C20</f>
        <v>0</v>
      </c>
      <c r="E20" s="14">
        <f t="shared" ref="E20:F20" si="0">D20</f>
        <v>0</v>
      </c>
      <c r="F20" s="14">
        <f t="shared" si="0"/>
        <v>0</v>
      </c>
      <c r="J20" s="11"/>
      <c r="K20" s="11"/>
    </row>
    <row r="21" spans="2:11" x14ac:dyDescent="0.25">
      <c r="D21" s="3"/>
      <c r="F21" s="19"/>
    </row>
    <row r="22" spans="2:11" x14ac:dyDescent="0.25">
      <c r="B22" s="16" t="s">
        <v>34</v>
      </c>
      <c r="C22" s="16"/>
    </row>
    <row r="23" spans="2:11" x14ac:dyDescent="0.25">
      <c r="B23" s="16" t="s">
        <v>36</v>
      </c>
      <c r="C23" s="16"/>
    </row>
    <row r="24" spans="2:11" x14ac:dyDescent="0.25">
      <c r="B24" s="16" t="s">
        <v>26</v>
      </c>
      <c r="C24" s="16"/>
    </row>
    <row r="25" spans="2:11" x14ac:dyDescent="0.25">
      <c r="B25" s="16" t="s">
        <v>27</v>
      </c>
      <c r="C25" s="16"/>
    </row>
    <row r="26" spans="2:11" x14ac:dyDescent="0.25">
      <c r="B26" s="16"/>
      <c r="C26" s="16"/>
    </row>
    <row r="27" spans="2:11" x14ac:dyDescent="0.25">
      <c r="B27" s="21" t="s">
        <v>45</v>
      </c>
      <c r="C27" s="18"/>
      <c r="D27" s="22"/>
      <c r="E27" s="22"/>
      <c r="F27" s="23"/>
    </row>
  </sheetData>
  <sheetProtection algorithmName="SHA-512" hashValue="TFg/lo+iquniEKGZkgHUlD/KHeINiBeK83l0i84eN0AwzHiay699d+yZ4jE+y923VmHgl/QFredbecWRiPMfrQ==" saltValue="MxXpcO2fWUgFhzd62huYKA==" spinCount="100000" sheet="1" objects="1" scenarios="1"/>
  <pageMargins left="0" right="0" top="0" bottom="0" header="0" footer="0"/>
  <pageSetup scale="9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DA285BAB-3A82-4924-8B91-3A98357A54B8}">
          <x14:formula1>
            <xm:f>'Logic &amp; Lists'!$B$3:$B$5</xm:f>
          </x14:formula1>
          <xm:sqref>C6</xm:sqref>
        </x14:dataValidation>
        <x14:dataValidation type="list" allowBlank="1" showInputMessage="1" showErrorMessage="1" xr:uid="{2D1A700D-7BD7-46E9-83C5-943191C64566}">
          <x14:formula1>
            <xm:f>'Logic &amp; Lists'!$D$3:$D$12</xm:f>
          </x14:formula1>
          <xm:sqref>C8</xm:sqref>
        </x14:dataValidation>
        <x14:dataValidation type="list" allowBlank="1" showInputMessage="1" showErrorMessage="1" xr:uid="{8549AADB-D54C-4BE2-B733-3F4DA78E258B}">
          <x14:formula1>
            <xm:f>'Logic &amp; Lists'!$F$3:$F$5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1667-E4F1-4C5C-AA50-8F16A50DEC81}">
  <sheetPr>
    <pageSetUpPr fitToPage="1"/>
  </sheetPr>
  <dimension ref="B3:F23"/>
  <sheetViews>
    <sheetView showGridLines="0" zoomScale="160" zoomScaleNormal="160" workbookViewId="0"/>
  </sheetViews>
  <sheetFormatPr defaultColWidth="8.7109375" defaultRowHeight="15" x14ac:dyDescent="0.25"/>
  <cols>
    <col min="2" max="2" width="35.85546875" customWidth="1"/>
    <col min="3" max="6" width="18.7109375" customWidth="1"/>
    <col min="9" max="11" width="16.7109375" customWidth="1"/>
  </cols>
  <sheetData>
    <row r="3" spans="2:6" ht="26.25" x14ac:dyDescent="0.4">
      <c r="B3" s="17" t="s">
        <v>59</v>
      </c>
      <c r="C3" s="17"/>
    </row>
    <row r="5" spans="2:6" x14ac:dyDescent="0.25">
      <c r="B5" s="21" t="s">
        <v>44</v>
      </c>
      <c r="C5" s="18"/>
      <c r="D5" s="22"/>
      <c r="E5" s="22"/>
      <c r="F5" s="23"/>
    </row>
    <row r="6" spans="2:6" x14ac:dyDescent="0.25">
      <c r="B6" t="s">
        <v>21</v>
      </c>
      <c r="C6" s="31">
        <v>0</v>
      </c>
    </row>
    <row r="7" spans="2:6" x14ac:dyDescent="0.25">
      <c r="B7" s="1" t="s">
        <v>20</v>
      </c>
      <c r="C7" s="32" t="s">
        <v>0</v>
      </c>
      <c r="D7" t="s">
        <v>25</v>
      </c>
    </row>
    <row r="8" spans="2:6" x14ac:dyDescent="0.25">
      <c r="B8" s="1" t="s">
        <v>23</v>
      </c>
      <c r="C8" s="32" t="s">
        <v>53</v>
      </c>
      <c r="D8" t="s">
        <v>25</v>
      </c>
    </row>
    <row r="9" spans="2:6" x14ac:dyDescent="0.25">
      <c r="B9" t="s">
        <v>24</v>
      </c>
      <c r="C9" s="31">
        <v>0</v>
      </c>
    </row>
    <row r="11" spans="2:6" x14ac:dyDescent="0.25">
      <c r="B11" s="12" t="s">
        <v>32</v>
      </c>
      <c r="C11" s="12"/>
      <c r="D11" s="12"/>
      <c r="E11" s="12"/>
      <c r="F11" s="12"/>
    </row>
    <row r="12" spans="2:6" ht="30" x14ac:dyDescent="0.25">
      <c r="B12" s="20" t="s">
        <v>17</v>
      </c>
      <c r="C12" s="15" t="s">
        <v>37</v>
      </c>
      <c r="D12" s="15" t="s">
        <v>29</v>
      </c>
      <c r="E12" s="15" t="s">
        <v>31</v>
      </c>
      <c r="F12" s="15" t="s">
        <v>30</v>
      </c>
    </row>
    <row r="13" spans="2:6" x14ac:dyDescent="0.25">
      <c r="B13" t="s">
        <v>66</v>
      </c>
      <c r="C13" s="14">
        <f>ROUNDUP(($C$6/'Logic &amp; Lists'!$U$8*1)*HLOOKUP($C$7,'Logic &amp; Lists'!$H$2:$R$7,3,FALSE),0)</f>
        <v>0</v>
      </c>
      <c r="D13" s="14">
        <f>ROUNDUP(($C$6/'Logic &amp; Lists'!$U$8*1.05)*HLOOKUP($C$7,'Logic &amp; Lists'!$H$2:$R$7,3,FALSE),0)</f>
        <v>0</v>
      </c>
      <c r="E13" s="14">
        <f>ROUNDUP(($C$6/'Logic &amp; Lists'!$U$8*1.1)*HLOOKUP($C$7,'Logic &amp; Lists'!$H$2:$R$7,3,FALSE),0)</f>
        <v>0</v>
      </c>
      <c r="F13" s="14">
        <f>ROUNDUP(($C$6/'Logic &amp; Lists'!$U$8*1.2)*HLOOKUP($C$7,'Logic &amp; Lists'!$H$2:$R$7,3,FALSE),0)</f>
        <v>0</v>
      </c>
    </row>
    <row r="14" spans="2:6" x14ac:dyDescent="0.25">
      <c r="B14" t="s">
        <v>67</v>
      </c>
      <c r="C14" s="14">
        <f>ROUNDUP(($C$6/'Logic &amp; Lists'!$U$8*1)*HLOOKUP($C$7,'Logic &amp; Lists'!$H$2:$R$7,4,FALSE),0)</f>
        <v>0</v>
      </c>
      <c r="D14" s="14">
        <f>ROUNDUP(($C$6/'Logic &amp; Lists'!$U$8*1.05)*HLOOKUP($C$7,'Logic &amp; Lists'!$H$2:$R$7,4,FALSE),0)</f>
        <v>0</v>
      </c>
      <c r="E14" s="14">
        <f>ROUNDUP(($C$6/'Logic &amp; Lists'!$U$8*1.1)*HLOOKUP($C$7,'Logic &amp; Lists'!$H$2:$R$7,4,FALSE),0)</f>
        <v>0</v>
      </c>
      <c r="F14" s="14">
        <f>ROUNDUP(($C$6/'Logic &amp; Lists'!$U$8*1.2)*HLOOKUP($C$7,'Logic &amp; Lists'!$H$2:$R$7,4,FALSE),0)</f>
        <v>0</v>
      </c>
    </row>
    <row r="15" spans="2:6" x14ac:dyDescent="0.25">
      <c r="B15" t="s">
        <v>68</v>
      </c>
      <c r="C15" s="14">
        <f>ROUNDUP(($C$6/'Logic &amp; Lists'!$U$8*1)*HLOOKUP($C$7,'Logic &amp; Lists'!$H$2:$R$7,5,FALSE),0)</f>
        <v>0</v>
      </c>
      <c r="D15" s="14">
        <f>ROUNDUP(($C$6/'Logic &amp; Lists'!$U$8*1.05)*HLOOKUP($C$7,'Logic &amp; Lists'!$H$2:$R$7,5,FALSE),0)</f>
        <v>0</v>
      </c>
      <c r="E15" s="14">
        <f>ROUNDUP(($C$6/'Logic &amp; Lists'!$U$8*1.1)*HLOOKUP($C$7,'Logic &amp; Lists'!$H$2:$R$7,5,FALSE),0)</f>
        <v>0</v>
      </c>
      <c r="F15" s="14">
        <f>ROUNDUP(($C$6/'Logic &amp; Lists'!$U$8*1.2)*HLOOKUP($C$7,'Logic &amp; Lists'!$H$2:$R$7,5,FALSE),0)</f>
        <v>0</v>
      </c>
    </row>
    <row r="16" spans="2:6" x14ac:dyDescent="0.25">
      <c r="B16" t="s">
        <v>54</v>
      </c>
      <c r="C16" s="14">
        <f>IF($C$8="Soldier",ROUNDUP(VLOOKUP($C$8,'Logic &amp; Lists'!$T$2:$U$5,2,FALSE)*$C$9*1,0),0)</f>
        <v>0</v>
      </c>
      <c r="D16" s="14">
        <f>IF($C$8="Soldier",ROUNDUP(VLOOKUP($C$8,'Logic &amp; Lists'!$T$2:$U$5,2,FALSE)*$C$9*1.05,0),0)</f>
        <v>0</v>
      </c>
      <c r="E16" s="14">
        <f>IF($C$8="Soldier",ROUNDUP(VLOOKUP($C$8,'Logic &amp; Lists'!$T$2:$U$5,2,FALSE)*$C$9*1.1,0),0)</f>
        <v>0</v>
      </c>
      <c r="F16" s="14">
        <f>IF($C$8="Soldier",ROUNDUP(VLOOKUP($C$8,'Logic &amp; Lists'!$T$2:$U$5,2,FALSE)*$C$9*1.2,0),0)</f>
        <v>0</v>
      </c>
    </row>
    <row r="17" spans="2:6" x14ac:dyDescent="0.25">
      <c r="D17" s="3"/>
      <c r="F17" s="19"/>
    </row>
    <row r="18" spans="2:6" x14ac:dyDescent="0.25">
      <c r="B18" s="16" t="s">
        <v>34</v>
      </c>
      <c r="C18" s="16"/>
    </row>
    <row r="19" spans="2:6" x14ac:dyDescent="0.25">
      <c r="B19" s="16" t="s">
        <v>36</v>
      </c>
      <c r="C19" s="16"/>
    </row>
    <row r="20" spans="2:6" x14ac:dyDescent="0.25">
      <c r="B20" s="16" t="s">
        <v>26</v>
      </c>
      <c r="C20" s="16"/>
    </row>
    <row r="21" spans="2:6" x14ac:dyDescent="0.25">
      <c r="B21" s="16" t="s">
        <v>27</v>
      </c>
      <c r="C21" s="16"/>
    </row>
    <row r="22" spans="2:6" x14ac:dyDescent="0.25">
      <c r="B22" s="16"/>
      <c r="C22" s="16"/>
    </row>
    <row r="23" spans="2:6" x14ac:dyDescent="0.25">
      <c r="B23" s="21" t="s">
        <v>45</v>
      </c>
      <c r="C23" s="18"/>
      <c r="D23" s="22"/>
      <c r="E23" s="22"/>
      <c r="F23" s="23"/>
    </row>
  </sheetData>
  <sheetProtection algorithmName="SHA-512" hashValue="Swb41DKMI7GNgGZWlT0vqi/rvcNk3LGd5b0CP+JP60UgGby70WOQDYT2HonA6i81tbBTIr0IJKe94HN7WlHPCQ==" saltValue="t6A0xcRNG4mNzgWhiwrG8g==" spinCount="100000" sheet="1" objects="1" scenarios="1"/>
  <pageMargins left="0" right="0" top="0" bottom="0" header="0" footer="0"/>
  <pageSetup scale="9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44679E8-E1B6-4FFD-A43E-95F273692D06}">
          <x14:formula1>
            <xm:f>'Logic &amp; Lists'!$F$16:$F$17</xm:f>
          </x14:formula1>
          <xm:sqref>C8</xm:sqref>
        </x14:dataValidation>
        <x14:dataValidation type="list" allowBlank="1" showInputMessage="1" showErrorMessage="1" xr:uid="{E39927D7-17A9-4529-921E-9C00D27D29A3}">
          <x14:formula1>
            <xm:f>'Logic &amp; Lists'!$D$16:$D$23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1E7B6-A1D0-433A-B17F-55B0AB89E5AF}">
  <sheetPr>
    <pageSetUpPr fitToPage="1"/>
  </sheetPr>
  <dimension ref="B3:F21"/>
  <sheetViews>
    <sheetView showGridLines="0" zoomScale="160" zoomScaleNormal="160" workbookViewId="0"/>
  </sheetViews>
  <sheetFormatPr defaultColWidth="8.7109375" defaultRowHeight="15" x14ac:dyDescent="0.25"/>
  <cols>
    <col min="2" max="2" width="35.85546875" customWidth="1"/>
    <col min="3" max="6" width="18.7109375" customWidth="1"/>
    <col min="9" max="11" width="16.7109375" customWidth="1"/>
  </cols>
  <sheetData>
    <row r="3" spans="2:6" ht="26.25" x14ac:dyDescent="0.4">
      <c r="B3" s="17" t="s">
        <v>58</v>
      </c>
      <c r="C3" s="17"/>
    </row>
    <row r="5" spans="2:6" x14ac:dyDescent="0.25">
      <c r="B5" s="21" t="s">
        <v>44</v>
      </c>
      <c r="C5" s="18"/>
      <c r="D5" s="22"/>
      <c r="E5" s="22"/>
      <c r="F5" s="23"/>
    </row>
    <row r="6" spans="2:6" x14ac:dyDescent="0.25">
      <c r="B6" t="s">
        <v>21</v>
      </c>
      <c r="C6" s="31">
        <v>0</v>
      </c>
    </row>
    <row r="7" spans="2:6" x14ac:dyDescent="0.25">
      <c r="B7" s="1" t="s">
        <v>20</v>
      </c>
      <c r="C7" s="32" t="s">
        <v>0</v>
      </c>
      <c r="D7" t="s">
        <v>25</v>
      </c>
    </row>
    <row r="8" spans="2:6" x14ac:dyDescent="0.25">
      <c r="B8" s="1" t="s">
        <v>23</v>
      </c>
      <c r="C8" s="32" t="s">
        <v>53</v>
      </c>
      <c r="D8" t="s">
        <v>25</v>
      </c>
    </row>
    <row r="9" spans="2:6" x14ac:dyDescent="0.25">
      <c r="B9" t="s">
        <v>24</v>
      </c>
      <c r="C9" s="31">
        <v>0</v>
      </c>
    </row>
    <row r="10" spans="2:6" x14ac:dyDescent="0.25">
      <c r="D10" s="14"/>
      <c r="E10" s="14"/>
      <c r="F10" s="14"/>
    </row>
    <row r="11" spans="2:6" x14ac:dyDescent="0.25">
      <c r="B11" s="12" t="s">
        <v>32</v>
      </c>
      <c r="C11" s="12"/>
      <c r="D11" s="12"/>
      <c r="E11" s="12"/>
      <c r="F11" s="12"/>
    </row>
    <row r="12" spans="2:6" ht="30" x14ac:dyDescent="0.25">
      <c r="B12" s="20" t="s">
        <v>17</v>
      </c>
      <c r="C12" s="15" t="s">
        <v>37</v>
      </c>
      <c r="D12" s="15" t="s">
        <v>29</v>
      </c>
      <c r="E12" s="15" t="s">
        <v>31</v>
      </c>
      <c r="F12" s="15" t="s">
        <v>30</v>
      </c>
    </row>
    <row r="13" spans="2:6" x14ac:dyDescent="0.25">
      <c r="B13" t="s">
        <v>67</v>
      </c>
      <c r="C13" s="14">
        <f>ROUNDUP(($C$6/'Logic &amp; Lists'!$U$8*1)*HLOOKUP($C$7,'Logic &amp; Lists'!$H$10:$K$15,4,FALSE),0)</f>
        <v>0</v>
      </c>
      <c r="D13" s="14">
        <f>ROUNDUP(($C$6/'Logic &amp; Lists'!$U$8*1.05)*HLOOKUP($C$7,'Logic &amp; Lists'!$H$10:$K$15,4,FALSE),0)</f>
        <v>0</v>
      </c>
      <c r="E13" s="14">
        <f>ROUNDUP(($C$6/'Logic &amp; Lists'!$U$8*1.1)*HLOOKUP($C$7,'Logic &amp; Lists'!$H$10:$K$15,4,FALSE),0)</f>
        <v>0</v>
      </c>
      <c r="F13" s="14">
        <f>ROUNDUP(($C$6/'Logic &amp; Lists'!$U$8*1.2)*HLOOKUP($C$7,'Logic &amp; Lists'!$H$10:$K$15,4,FALSE),0)</f>
        <v>0</v>
      </c>
    </row>
    <row r="14" spans="2:6" x14ac:dyDescent="0.25">
      <c r="B14" t="s">
        <v>54</v>
      </c>
      <c r="C14" s="14">
        <f>IF($C$8="Soldier",ROUNDUP(VLOOKUP($C$8,'Logic &amp; Lists'!$T$2:$U$5,2,FALSE)*$C$9*1,0),0)</f>
        <v>0</v>
      </c>
      <c r="D14" s="14">
        <f>IF($C$8="Soldier",ROUNDUP(VLOOKUP($C$8,'Logic &amp; Lists'!$T$2:$U$5,2,FALSE)*$C$9*1.05,0),0)</f>
        <v>0</v>
      </c>
      <c r="E14" s="14">
        <f>IF($C$8="Soldier",ROUNDUP(VLOOKUP($C$8,'Logic &amp; Lists'!$T$2:$U$5,2,FALSE)*$C$9*1.1,0),0)</f>
        <v>0</v>
      </c>
      <c r="F14" s="14">
        <f>IF($C$8="Soldier",ROUNDUP(VLOOKUP($C$8,'Logic &amp; Lists'!$T$2:$U$5,2,FALSE)*$C$9*1.2,0),0)</f>
        <v>0</v>
      </c>
    </row>
    <row r="15" spans="2:6" x14ac:dyDescent="0.25">
      <c r="D15" s="3"/>
      <c r="F15" s="19"/>
    </row>
    <row r="16" spans="2:6" x14ac:dyDescent="0.25">
      <c r="B16" s="16" t="s">
        <v>34</v>
      </c>
      <c r="C16" s="16"/>
    </row>
    <row r="17" spans="2:3" x14ac:dyDescent="0.25">
      <c r="B17" s="16" t="s">
        <v>36</v>
      </c>
      <c r="C17" s="16"/>
    </row>
    <row r="18" spans="2:3" x14ac:dyDescent="0.25">
      <c r="B18" s="16" t="s">
        <v>26</v>
      </c>
      <c r="C18" s="16"/>
    </row>
    <row r="19" spans="2:3" x14ac:dyDescent="0.25">
      <c r="B19" s="16" t="s">
        <v>27</v>
      </c>
      <c r="C19" s="16"/>
    </row>
    <row r="20" spans="2:3" x14ac:dyDescent="0.25">
      <c r="B20" s="16"/>
      <c r="C20" s="16"/>
    </row>
    <row r="21" spans="2:3" x14ac:dyDescent="0.25">
      <c r="B21" s="21" t="s">
        <v>45</v>
      </c>
      <c r="C21" s="18"/>
    </row>
  </sheetData>
  <sheetProtection algorithmName="SHA-512" hashValue="3S/8m4r+YoTMUelWOKL7GqydySNUldIG3kV5ux9hRsFdnvMNji7Cy4rrHQucnFgJ5fWfZE/1j96w1/osTQBQ4w==" saltValue="f7ARCQOj5ZgC2u34lE6iBA==" spinCount="100000" sheet="1" objects="1" scenarios="1"/>
  <pageMargins left="0" right="0" top="0" bottom="0" header="0" footer="0"/>
  <pageSetup scale="9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68651F4-33EF-4A73-816E-C49A4D10E631}">
          <x14:formula1>
            <xm:f>'Logic &amp; Lists'!$D$29:$D$31</xm:f>
          </x14:formula1>
          <xm:sqref>C7</xm:sqref>
        </x14:dataValidation>
        <x14:dataValidation type="list" allowBlank="1" showInputMessage="1" showErrorMessage="1" xr:uid="{1F319B89-CC88-4D4A-921A-D749351AC8D9}">
          <x14:formula1>
            <xm:f>'Logic &amp; Lists'!$F$16:$F$17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93D15-D2BA-403A-8AD3-F74C4723F105}">
  <dimension ref="B1:X38"/>
  <sheetViews>
    <sheetView topLeftCell="A32" zoomScale="115" zoomScaleNormal="115" workbookViewId="0">
      <selection activeCell="A32" sqref="A32"/>
    </sheetView>
  </sheetViews>
  <sheetFormatPr defaultColWidth="8.7109375" defaultRowHeight="15" outlineLevelRow="1" x14ac:dyDescent="0.25"/>
  <cols>
    <col min="2" max="2" width="20.7109375" style="3" customWidth="1"/>
    <col min="3" max="3" width="2.7109375" customWidth="1"/>
    <col min="4" max="4" width="20.7109375" style="3" customWidth="1"/>
    <col min="5" max="5" width="2.7109375" customWidth="1"/>
    <col min="6" max="6" width="20.7109375" customWidth="1"/>
    <col min="7" max="7" width="2.7109375" customWidth="1"/>
    <col min="8" max="8" width="22.7109375" customWidth="1"/>
    <col min="9" max="18" width="20.7109375" customWidth="1"/>
    <col min="19" max="19" width="2.7109375" customWidth="1"/>
    <col min="20" max="20" width="14.140625" bestFit="1" customWidth="1"/>
    <col min="21" max="21" width="12.28515625" customWidth="1"/>
    <col min="22" max="22" width="2.7109375" customWidth="1"/>
    <col min="23" max="23" width="23.140625" bestFit="1" customWidth="1"/>
  </cols>
  <sheetData>
    <row r="1" spans="2:24" hidden="1" outlineLevel="1" x14ac:dyDescent="0.25">
      <c r="H1" s="24" t="s">
        <v>56</v>
      </c>
    </row>
    <row r="2" spans="2:24" hidden="1" outlineLevel="1" x14ac:dyDescent="0.25">
      <c r="B2" s="5" t="s">
        <v>47</v>
      </c>
      <c r="D2" s="5" t="s">
        <v>48</v>
      </c>
      <c r="F2" s="5" t="s">
        <v>46</v>
      </c>
      <c r="H2" s="5"/>
      <c r="I2" s="5" t="s">
        <v>0</v>
      </c>
      <c r="J2" s="5" t="s">
        <v>1</v>
      </c>
      <c r="K2" s="5" t="s">
        <v>39</v>
      </c>
      <c r="L2" s="5" t="s">
        <v>40</v>
      </c>
      <c r="M2" s="5" t="s">
        <v>41</v>
      </c>
      <c r="N2" s="5" t="s">
        <v>42</v>
      </c>
      <c r="O2" s="5" t="s">
        <v>43</v>
      </c>
      <c r="P2" s="5" t="s">
        <v>2</v>
      </c>
      <c r="Q2" s="5" t="s">
        <v>3</v>
      </c>
      <c r="R2" s="5" t="s">
        <v>65</v>
      </c>
      <c r="T2" s="6" t="s">
        <v>14</v>
      </c>
      <c r="U2" s="6"/>
      <c r="W2" s="6" t="s">
        <v>16</v>
      </c>
      <c r="X2" s="6"/>
    </row>
    <row r="3" spans="2:24" hidden="1" outlineLevel="1" x14ac:dyDescent="0.25">
      <c r="B3" s="4" t="s">
        <v>4</v>
      </c>
      <c r="D3" s="4" t="s">
        <v>0</v>
      </c>
      <c r="F3" s="4" t="s">
        <v>7</v>
      </c>
      <c r="H3" t="s">
        <v>38</v>
      </c>
      <c r="I3" s="8">
        <v>0</v>
      </c>
      <c r="J3" s="8">
        <v>0</v>
      </c>
      <c r="K3" s="8">
        <v>0</v>
      </c>
      <c r="L3" s="8">
        <v>0</v>
      </c>
      <c r="M3" s="8">
        <v>1</v>
      </c>
      <c r="N3" s="8">
        <v>0</v>
      </c>
      <c r="O3" s="8">
        <v>1</v>
      </c>
      <c r="P3" s="8">
        <v>0</v>
      </c>
      <c r="Q3" s="8">
        <v>0</v>
      </c>
      <c r="R3" s="8">
        <v>0</v>
      </c>
      <c r="T3" t="s">
        <v>7</v>
      </c>
      <c r="U3" s="11">
        <v>3</v>
      </c>
      <c r="W3" t="s">
        <v>9</v>
      </c>
      <c r="X3">
        <v>200</v>
      </c>
    </row>
    <row r="4" spans="2:24" hidden="1" outlineLevel="1" x14ac:dyDescent="0.25">
      <c r="B4" s="2" t="s">
        <v>5</v>
      </c>
      <c r="D4" s="4" t="s">
        <v>1</v>
      </c>
      <c r="F4" s="2" t="s">
        <v>12</v>
      </c>
      <c r="H4" t="s">
        <v>11</v>
      </c>
      <c r="I4" s="8">
        <v>0</v>
      </c>
      <c r="J4" s="8">
        <v>0</v>
      </c>
      <c r="K4" s="8">
        <v>0</v>
      </c>
      <c r="L4" s="8">
        <v>0.96</v>
      </c>
      <c r="M4" s="8">
        <v>0</v>
      </c>
      <c r="N4" s="8">
        <v>1</v>
      </c>
      <c r="O4" s="8">
        <v>0</v>
      </c>
      <c r="P4" s="8">
        <v>0.57099999999999995</v>
      </c>
      <c r="Q4" s="8">
        <v>0.44400000000000001</v>
      </c>
      <c r="R4" s="8">
        <v>0.5</v>
      </c>
      <c r="T4" t="s">
        <v>12</v>
      </c>
      <c r="U4" s="11">
        <v>1.5</v>
      </c>
    </row>
    <row r="5" spans="2:24" hidden="1" outlineLevel="1" x14ac:dyDescent="0.25">
      <c r="B5" s="2" t="s">
        <v>6</v>
      </c>
      <c r="D5" s="4" t="s">
        <v>39</v>
      </c>
      <c r="F5" s="2" t="s">
        <v>13</v>
      </c>
      <c r="H5" t="s">
        <v>10</v>
      </c>
      <c r="I5" s="8">
        <v>0.96</v>
      </c>
      <c r="J5" s="8">
        <v>1</v>
      </c>
      <c r="K5" s="8">
        <v>0.96</v>
      </c>
      <c r="L5" s="8">
        <v>0.04</v>
      </c>
      <c r="M5" s="8">
        <v>0</v>
      </c>
      <c r="N5" s="8">
        <v>0</v>
      </c>
      <c r="O5" s="8">
        <v>0</v>
      </c>
      <c r="P5" s="8">
        <v>0.28599999999999998</v>
      </c>
      <c r="Q5" s="8">
        <v>0.44400000000000001</v>
      </c>
      <c r="R5" s="8">
        <v>0.25</v>
      </c>
      <c r="T5" t="s">
        <v>53</v>
      </c>
      <c r="U5" s="11">
        <v>3</v>
      </c>
    </row>
    <row r="6" spans="2:24" hidden="1" outlineLevel="1" x14ac:dyDescent="0.25">
      <c r="D6" s="4" t="s">
        <v>40</v>
      </c>
      <c r="H6" t="s">
        <v>8</v>
      </c>
      <c r="I6" s="8">
        <v>0.04</v>
      </c>
      <c r="J6" s="8">
        <v>0</v>
      </c>
      <c r="K6" s="8">
        <v>0.04</v>
      </c>
      <c r="L6" s="8">
        <v>0</v>
      </c>
      <c r="M6" s="8">
        <v>0</v>
      </c>
      <c r="N6" s="8">
        <v>0</v>
      </c>
      <c r="O6" s="8">
        <v>0</v>
      </c>
      <c r="P6" s="8">
        <v>0.14299999999999999</v>
      </c>
      <c r="Q6" s="8">
        <v>0.112</v>
      </c>
      <c r="R6" s="8">
        <v>0.25</v>
      </c>
      <c r="W6" s="6" t="s">
        <v>28</v>
      </c>
      <c r="X6" s="6"/>
    </row>
    <row r="7" spans="2:24" hidden="1" outlineLevel="1" x14ac:dyDescent="0.25">
      <c r="D7" s="4" t="s">
        <v>41</v>
      </c>
      <c r="H7" s="7" t="s">
        <v>15</v>
      </c>
      <c r="I7" s="9">
        <f>SUM(I3:I6)</f>
        <v>1</v>
      </c>
      <c r="J7" s="9">
        <f t="shared" ref="J7:R7" si="0">SUM(J3:J6)</f>
        <v>1</v>
      </c>
      <c r="K7" s="9">
        <f t="shared" si="0"/>
        <v>1</v>
      </c>
      <c r="L7" s="9">
        <f t="shared" si="0"/>
        <v>1</v>
      </c>
      <c r="M7" s="9">
        <f t="shared" si="0"/>
        <v>1</v>
      </c>
      <c r="N7" s="9">
        <f t="shared" ref="N7" si="1">SUM(N3:N6)</f>
        <v>1</v>
      </c>
      <c r="O7" s="9">
        <f t="shared" ref="O7" si="2">SUM(O3:O6)</f>
        <v>1</v>
      </c>
      <c r="P7" s="9">
        <f t="shared" ref="P7" si="3">SUM(P3:P6)</f>
        <v>1</v>
      </c>
      <c r="Q7" s="9">
        <f t="shared" si="0"/>
        <v>1</v>
      </c>
      <c r="R7" s="10">
        <f t="shared" si="0"/>
        <v>1</v>
      </c>
      <c r="T7" s="6" t="s">
        <v>18</v>
      </c>
      <c r="U7" s="6"/>
      <c r="W7" t="s">
        <v>61</v>
      </c>
      <c r="X7">
        <v>8</v>
      </c>
    </row>
    <row r="8" spans="2:24" hidden="1" outlineLevel="1" x14ac:dyDescent="0.25">
      <c r="D8" s="4" t="s">
        <v>42</v>
      </c>
      <c r="T8" t="s">
        <v>19</v>
      </c>
      <c r="U8" s="13">
        <v>1.78</v>
      </c>
      <c r="W8" t="s">
        <v>62</v>
      </c>
      <c r="X8">
        <v>4</v>
      </c>
    </row>
    <row r="9" spans="2:24" hidden="1" outlineLevel="1" x14ac:dyDescent="0.25">
      <c r="D9" s="3" t="s">
        <v>43</v>
      </c>
      <c r="H9" s="24" t="s">
        <v>55</v>
      </c>
      <c r="R9" s="8"/>
      <c r="W9" t="s">
        <v>63</v>
      </c>
      <c r="X9">
        <v>6</v>
      </c>
    </row>
    <row r="10" spans="2:24" hidden="1" outlineLevel="1" x14ac:dyDescent="0.25">
      <c r="D10" s="3" t="s">
        <v>2</v>
      </c>
      <c r="H10" s="25"/>
      <c r="I10" s="26" t="s">
        <v>0</v>
      </c>
      <c r="J10" s="26" t="s">
        <v>1</v>
      </c>
      <c r="K10" s="27" t="s">
        <v>57</v>
      </c>
      <c r="W10" t="s">
        <v>64</v>
      </c>
      <c r="X10">
        <v>6</v>
      </c>
    </row>
    <row r="11" spans="2:24" hidden="1" outlineLevel="1" x14ac:dyDescent="0.25">
      <c r="D11" s="3" t="s">
        <v>3</v>
      </c>
      <c r="H11" s="28" t="s">
        <v>38</v>
      </c>
      <c r="I11" s="8">
        <v>0</v>
      </c>
      <c r="J11" s="8">
        <v>0</v>
      </c>
      <c r="K11" s="29">
        <v>0</v>
      </c>
    </row>
    <row r="12" spans="2:24" hidden="1" outlineLevel="1" x14ac:dyDescent="0.25">
      <c r="D12" s="3" t="s">
        <v>65</v>
      </c>
      <c r="H12" s="28" t="s">
        <v>11</v>
      </c>
      <c r="I12" s="8">
        <v>0</v>
      </c>
      <c r="J12" s="8">
        <v>0</v>
      </c>
      <c r="K12" s="29">
        <v>0</v>
      </c>
    </row>
    <row r="13" spans="2:24" hidden="1" outlineLevel="1" x14ac:dyDescent="0.25">
      <c r="H13" s="28" t="s">
        <v>10</v>
      </c>
      <c r="I13" s="8">
        <v>1</v>
      </c>
      <c r="J13" s="8">
        <v>1</v>
      </c>
      <c r="K13" s="29">
        <v>1</v>
      </c>
    </row>
    <row r="14" spans="2:24" hidden="1" outlineLevel="1" x14ac:dyDescent="0.25">
      <c r="H14" s="28" t="s">
        <v>8</v>
      </c>
      <c r="I14" s="8">
        <v>0</v>
      </c>
      <c r="J14" s="8">
        <v>0</v>
      </c>
      <c r="K14" s="29">
        <v>0</v>
      </c>
    </row>
    <row r="15" spans="2:24" hidden="1" outlineLevel="1" x14ac:dyDescent="0.25">
      <c r="B15" s="5" t="s">
        <v>49</v>
      </c>
      <c r="D15" s="5" t="s">
        <v>50</v>
      </c>
      <c r="F15" s="5" t="s">
        <v>51</v>
      </c>
      <c r="H15" s="7" t="s">
        <v>15</v>
      </c>
      <c r="I15" s="9">
        <f>SUM(I11:I14)</f>
        <v>1</v>
      </c>
      <c r="J15" s="9">
        <f t="shared" ref="J15" si="4">SUM(J11:J14)</f>
        <v>1</v>
      </c>
      <c r="K15" s="10">
        <f>SUM(K11:K14)</f>
        <v>1</v>
      </c>
    </row>
    <row r="16" spans="2:24" hidden="1" outlineLevel="1" x14ac:dyDescent="0.25">
      <c r="B16" s="4" t="s">
        <v>52</v>
      </c>
      <c r="D16" s="4" t="s">
        <v>0</v>
      </c>
      <c r="F16" s="4" t="s">
        <v>53</v>
      </c>
    </row>
    <row r="17" spans="2:6" hidden="1" outlineLevel="1" x14ac:dyDescent="0.25">
      <c r="B17" s="2"/>
      <c r="D17" s="4" t="s">
        <v>1</v>
      </c>
      <c r="F17" s="2" t="s">
        <v>13</v>
      </c>
    </row>
    <row r="18" spans="2:6" hidden="1" outlineLevel="1" x14ac:dyDescent="0.25">
      <c r="B18" s="2"/>
      <c r="D18" s="4" t="s">
        <v>39</v>
      </c>
      <c r="F18" s="2"/>
    </row>
    <row r="19" spans="2:6" hidden="1" outlineLevel="1" x14ac:dyDescent="0.25">
      <c r="D19" s="4" t="s">
        <v>40</v>
      </c>
    </row>
    <row r="20" spans="2:6" hidden="1" outlineLevel="1" x14ac:dyDescent="0.25">
      <c r="D20" s="4" t="s">
        <v>42</v>
      </c>
    </row>
    <row r="21" spans="2:6" hidden="1" outlineLevel="1" x14ac:dyDescent="0.25">
      <c r="D21" s="4" t="s">
        <v>2</v>
      </c>
    </row>
    <row r="22" spans="2:6" hidden="1" outlineLevel="1" x14ac:dyDescent="0.25">
      <c r="D22" s="3" t="s">
        <v>3</v>
      </c>
    </row>
    <row r="23" spans="2:6" hidden="1" outlineLevel="1" x14ac:dyDescent="0.25">
      <c r="D23" s="3" t="s">
        <v>65</v>
      </c>
    </row>
    <row r="24" spans="2:6" hidden="1" outlineLevel="1" x14ac:dyDescent="0.25"/>
    <row r="25" spans="2:6" hidden="1" outlineLevel="1" x14ac:dyDescent="0.25"/>
    <row r="26" spans="2:6" hidden="1" outlineLevel="1" x14ac:dyDescent="0.25"/>
    <row r="27" spans="2:6" hidden="1" outlineLevel="1" x14ac:dyDescent="0.25"/>
    <row r="28" spans="2:6" hidden="1" outlineLevel="1" x14ac:dyDescent="0.25">
      <c r="B28" s="5" t="s">
        <v>47</v>
      </c>
      <c r="D28" s="5" t="s">
        <v>48</v>
      </c>
      <c r="F28" s="5" t="s">
        <v>46</v>
      </c>
    </row>
    <row r="29" spans="2:6" hidden="1" outlineLevel="1" x14ac:dyDescent="0.25">
      <c r="B29" s="4" t="s">
        <v>55</v>
      </c>
      <c r="D29" s="4" t="s">
        <v>0</v>
      </c>
      <c r="F29" s="4" t="s">
        <v>53</v>
      </c>
    </row>
    <row r="30" spans="2:6" hidden="1" outlineLevel="1" x14ac:dyDescent="0.25">
      <c r="B30" s="2"/>
      <c r="D30" s="4" t="s">
        <v>1</v>
      </c>
      <c r="F30" s="2" t="s">
        <v>13</v>
      </c>
    </row>
    <row r="31" spans="2:6" hidden="1" outlineLevel="1" x14ac:dyDescent="0.25">
      <c r="B31" s="2"/>
      <c r="D31" s="4" t="s">
        <v>57</v>
      </c>
      <c r="F31" s="2"/>
    </row>
    <row r="32" spans="2:6" collapsed="1" x14ac:dyDescent="0.25">
      <c r="D32" s="4"/>
    </row>
    <row r="33" spans="4:4" x14ac:dyDescent="0.25">
      <c r="D33" s="4"/>
    </row>
    <row r="34" spans="4:4" x14ac:dyDescent="0.25">
      <c r="D34" s="4"/>
    </row>
    <row r="35" spans="4:4" x14ac:dyDescent="0.25">
      <c r="D35" s="4"/>
    </row>
    <row r="36" spans="4:4" x14ac:dyDescent="0.25">
      <c r="D36" s="4"/>
    </row>
    <row r="37" spans="4:4" x14ac:dyDescent="0.25">
      <c r="D37" s="4"/>
    </row>
    <row r="38" spans="4:4" x14ac:dyDescent="0.25">
      <c r="D38" s="4"/>
    </row>
  </sheetData>
  <sheetProtection algorithmName="SHA-512" hashValue="TT7rDN+xEXVaol2MFQC8RM/qfd1G7oUafl+rvc5XZNGWS97046XGpMLulXDWVmoV5Vri6umU3BzA5NBhGy2KlQ==" saltValue="d6AF5+st20zWSowxowISd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Rooftop &amp; Patio Estimator</vt:lpstr>
      <vt:lpstr>Driveway</vt:lpstr>
      <vt:lpstr>Permeable</vt:lpstr>
      <vt:lpstr>Logic &amp; Lists</vt:lpstr>
      <vt:lpstr>Driveway!Print_Area</vt:lpstr>
      <vt:lpstr>Permeable!Print_Area</vt:lpstr>
      <vt:lpstr>'Rooftop &amp; Patio Estimator'!Print_Area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 Hall</dc:creator>
  <cp:keywords/>
  <dc:description/>
  <cp:lastModifiedBy>Alex Bode</cp:lastModifiedBy>
  <cp:revision/>
  <cp:lastPrinted>2023-11-16T15:17:23Z</cp:lastPrinted>
  <dcterms:created xsi:type="dcterms:W3CDTF">2022-05-17T19:19:14Z</dcterms:created>
  <dcterms:modified xsi:type="dcterms:W3CDTF">2024-04-22T17:57:06Z</dcterms:modified>
  <cp:category/>
  <cp:contentStatus/>
</cp:coreProperties>
</file>